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24"/>
  </bookViews>
  <sheets>
    <sheet name="平均攤提費用" sheetId="1" r:id="rId1"/>
  </sheets>
  <calcPr calcId="145621"/>
</workbook>
</file>

<file path=xl/calcChain.xml><?xml version="1.0" encoding="utf-8"?>
<calcChain xmlns="http://schemas.openxmlformats.org/spreadsheetml/2006/main">
  <c r="D68" i="1" l="1"/>
  <c r="D69" i="1" s="1"/>
  <c r="D66" i="1"/>
  <c r="D65" i="1"/>
  <c r="D64" i="1"/>
  <c r="D63" i="1"/>
  <c r="D62" i="1"/>
  <c r="D61" i="1"/>
  <c r="D60" i="1"/>
  <c r="D59" i="1"/>
  <c r="D58" i="1"/>
  <c r="D57" i="1"/>
  <c r="D56" i="1"/>
  <c r="D55" i="1"/>
  <c r="H54" i="1"/>
  <c r="D54" i="1"/>
  <c r="D53" i="1"/>
  <c r="D52" i="1"/>
  <c r="M41" i="1"/>
  <c r="P41" i="1" s="1"/>
  <c r="R41" i="1" s="1"/>
  <c r="P35" i="1"/>
  <c r="H35" i="1"/>
  <c r="V34" i="1"/>
  <c r="V35" i="1" s="1"/>
  <c r="S34" i="1"/>
  <c r="S35" i="1" s="1"/>
  <c r="P34" i="1"/>
  <c r="M34" i="1"/>
  <c r="B34" i="1"/>
  <c r="B35" i="1" s="1"/>
  <c r="H29" i="1"/>
  <c r="B29" i="1"/>
  <c r="U28" i="1"/>
  <c r="U29" i="1" s="1"/>
  <c r="R28" i="1"/>
  <c r="R29" i="1" s="1"/>
  <c r="K23" i="1"/>
  <c r="H23" i="1"/>
  <c r="S23" i="1" s="1"/>
  <c r="AC22" i="1"/>
  <c r="R22" i="1"/>
  <c r="R23" i="1" s="1"/>
  <c r="O22" i="1"/>
  <c r="O23" i="1" s="1"/>
  <c r="M22" i="1"/>
  <c r="H17" i="1"/>
  <c r="R16" i="1"/>
  <c r="R17" i="1" s="1"/>
  <c r="O16" i="1"/>
  <c r="O17" i="1" s="1"/>
  <c r="M16" i="1"/>
  <c r="B16" i="1"/>
  <c r="B17" i="1" s="1"/>
  <c r="S17" i="1" s="1"/>
  <c r="M11" i="1"/>
  <c r="L11" i="1"/>
  <c r="K11" i="1"/>
  <c r="J11" i="1"/>
  <c r="X10" i="1"/>
  <c r="X11" i="1" s="1"/>
  <c r="U10" i="1"/>
  <c r="U11" i="1" s="1"/>
  <c r="R10" i="1"/>
  <c r="R11" i="1" s="1"/>
  <c r="B10" i="1"/>
  <c r="B11" i="1" s="1"/>
  <c r="Y11" i="1" s="1"/>
  <c r="AA11" i="1" s="1"/>
  <c r="AC11" i="1" s="1"/>
  <c r="R4" i="1"/>
  <c r="M4" i="1"/>
  <c r="I4" i="1"/>
  <c r="H4" i="1"/>
  <c r="Z3" i="1"/>
  <c r="Z4" i="1" s="1"/>
  <c r="W3" i="1"/>
  <c r="W4" i="1" s="1"/>
  <c r="R3" i="1"/>
  <c r="B3" i="1"/>
  <c r="B4" i="1" s="1"/>
  <c r="AA4" i="1" s="1"/>
  <c r="Y16" i="1" l="1"/>
  <c r="AB16" i="1" s="1"/>
  <c r="U16" i="1"/>
  <c r="X16" i="1" s="1"/>
  <c r="AB22" i="1"/>
  <c r="AE22" i="1" s="1"/>
  <c r="X22" i="1"/>
  <c r="AA22" i="1" s="1"/>
  <c r="V29" i="1"/>
  <c r="X29" i="1" s="1"/>
  <c r="Z29" i="1" s="1"/>
  <c r="AC4" i="1"/>
  <c r="AE4" i="1" s="1"/>
  <c r="W35" i="1"/>
  <c r="Y35" i="1" s="1"/>
  <c r="AA35" i="1" s="1"/>
  <c r="H52" i="1" l="1"/>
  <c r="H53" i="1" s="1"/>
  <c r="H55" i="1" s="1"/>
</calcChain>
</file>

<file path=xl/sharedStrings.xml><?xml version="1.0" encoding="utf-8"?>
<sst xmlns="http://schemas.openxmlformats.org/spreadsheetml/2006/main" count="225" uniqueCount="108">
  <si>
    <t>籃球</t>
    <phoneticPr fontId="3" type="noConversion"/>
  </si>
  <si>
    <t>場地總金額</t>
    <phoneticPr fontId="3" type="noConversion"/>
  </si>
  <si>
    <t>桌子+椅子</t>
    <phoneticPr fontId="3" type="noConversion"/>
  </si>
  <si>
    <t>球具採購</t>
    <phoneticPr fontId="3" type="noConversion"/>
  </si>
  <si>
    <t>裁判</t>
    <phoneticPr fontId="3" type="noConversion"/>
  </si>
  <si>
    <t>記錄台</t>
    <phoneticPr fontId="3" type="noConversion"/>
  </si>
  <si>
    <t>醫護人員</t>
    <phoneticPr fontId="3" type="noConversion"/>
  </si>
  <si>
    <t>總計</t>
    <phoneticPr fontId="3" type="noConversion"/>
  </si>
  <si>
    <t>隊數</t>
    <phoneticPr fontId="3" type="noConversion"/>
  </si>
  <si>
    <t>攤提費用</t>
    <phoneticPr fontId="3" type="noConversion"/>
  </si>
  <si>
    <t>報名費</t>
    <phoneticPr fontId="3" type="noConversion"/>
  </si>
  <si>
    <t>男籃膠</t>
    <phoneticPr fontId="3" type="noConversion"/>
  </si>
  <si>
    <t>女籃膠</t>
    <phoneticPr fontId="3" type="noConversion"/>
  </si>
  <si>
    <t>男籃皮</t>
    <phoneticPr fontId="3" type="noConversion"/>
  </si>
  <si>
    <t>女籃皮</t>
    <phoneticPr fontId="3" type="noConversion"/>
  </si>
  <si>
    <t>獎盃</t>
    <phoneticPr fontId="3" type="noConversion"/>
  </si>
  <si>
    <t>裁判長(兩人)</t>
    <phoneticPr fontId="3" type="noConversion"/>
  </si>
  <si>
    <t>總場次</t>
    <phoneticPr fontId="3" type="noConversion"/>
  </si>
  <si>
    <t>單價</t>
    <phoneticPr fontId="3" type="noConversion"/>
  </si>
  <si>
    <t>小計</t>
    <phoneticPr fontId="3" type="noConversion"/>
  </si>
  <si>
    <t>預算</t>
    <phoneticPr fontId="3" type="noConversion"/>
  </si>
  <si>
    <t>複賽</t>
    <phoneticPr fontId="3" type="noConversion"/>
  </si>
  <si>
    <t>數量</t>
    <phoneticPr fontId="3" type="noConversion"/>
  </si>
  <si>
    <t>籃球建議</t>
    <phoneticPr fontId="3" type="noConversion"/>
  </si>
  <si>
    <t>籃球場地</t>
    <phoneticPr fontId="3" type="noConversion"/>
  </si>
  <si>
    <t>張桌子+張椅子</t>
    <phoneticPr fontId="3" type="noConversion"/>
  </si>
  <si>
    <t>兩組</t>
    <phoneticPr fontId="3" type="noConversion"/>
  </si>
  <si>
    <t>費用</t>
    <phoneticPr fontId="3" type="noConversion"/>
  </si>
  <si>
    <t>排球</t>
    <phoneticPr fontId="3" type="noConversion"/>
  </si>
  <si>
    <t>清潔人員</t>
    <phoneticPr fontId="3" type="noConversion"/>
  </si>
  <si>
    <t>男排膠</t>
    <phoneticPr fontId="3" type="noConversion"/>
  </si>
  <si>
    <t>女排膠</t>
    <phoneticPr fontId="3" type="noConversion"/>
  </si>
  <si>
    <t>男排皮</t>
    <phoneticPr fontId="3" type="noConversion"/>
  </si>
  <si>
    <t>女排皮</t>
    <phoneticPr fontId="3" type="noConversion"/>
  </si>
  <si>
    <t>裁判長</t>
    <phoneticPr fontId="3" type="noConversion"/>
  </si>
  <si>
    <t>排球建議</t>
    <phoneticPr fontId="3" type="noConversion"/>
  </si>
  <si>
    <t>排球場地</t>
    <phoneticPr fontId="3" type="noConversion"/>
  </si>
  <si>
    <t>桌球</t>
    <phoneticPr fontId="3" type="noConversion"/>
  </si>
  <si>
    <t>團體費用(總費用*2/3)</t>
    <phoneticPr fontId="3" type="noConversion"/>
  </si>
  <si>
    <t>個人費用(總費用*1/3)</t>
  </si>
  <si>
    <t>獎牌</t>
    <phoneticPr fontId="3" type="noConversion"/>
  </si>
  <si>
    <t>裁判(8名)</t>
    <phoneticPr fontId="3" type="noConversion"/>
  </si>
  <si>
    <t>小計(兩天)</t>
    <phoneticPr fontId="3" type="noConversion"/>
  </si>
  <si>
    <t>獎盃(一組)</t>
    <phoneticPr fontId="3" type="noConversion"/>
  </si>
  <si>
    <t>獎牌(一組)</t>
    <phoneticPr fontId="3" type="noConversion"/>
  </si>
  <si>
    <t>人數</t>
    <phoneticPr fontId="3" type="noConversion"/>
  </si>
  <si>
    <t>桌球場地</t>
    <phoneticPr fontId="3" type="noConversion"/>
  </si>
  <si>
    <t>4打*450</t>
    <phoneticPr fontId="3" type="noConversion"/>
  </si>
  <si>
    <t>1組</t>
    <phoneticPr fontId="3" type="noConversion"/>
  </si>
  <si>
    <t>羽球</t>
    <phoneticPr fontId="3" type="noConversion"/>
  </si>
  <si>
    <t>一般裁判(10名)</t>
    <phoneticPr fontId="3" type="noConversion"/>
  </si>
  <si>
    <t>獎牌(三組)</t>
    <phoneticPr fontId="3" type="noConversion"/>
  </si>
  <si>
    <t>羽球場地</t>
    <phoneticPr fontId="3" type="noConversion"/>
  </si>
  <si>
    <t>45桶</t>
    <phoneticPr fontId="3" type="noConversion"/>
  </si>
  <si>
    <t>3組</t>
    <phoneticPr fontId="3" type="noConversion"/>
  </si>
  <si>
    <t>壘球</t>
    <phoneticPr fontId="3" type="noConversion"/>
  </si>
  <si>
    <t>壘球建議</t>
    <phoneticPr fontId="3" type="noConversion"/>
  </si>
  <si>
    <t>壘球場地</t>
    <phoneticPr fontId="3" type="noConversion"/>
  </si>
  <si>
    <t>3(打)*1950(元)</t>
    <phoneticPr fontId="3" type="noConversion"/>
  </si>
  <si>
    <t>一組</t>
    <phoneticPr fontId="3" type="noConversion"/>
  </si>
  <si>
    <t>網球</t>
    <phoneticPr fontId="3" type="noConversion"/>
  </si>
  <si>
    <t>一般裁判(5名)</t>
    <phoneticPr fontId="3" type="noConversion"/>
  </si>
  <si>
    <t>網球建議</t>
    <phoneticPr fontId="3" type="noConversion"/>
  </si>
  <si>
    <t>網球場地</t>
    <phoneticPr fontId="3" type="noConversion"/>
  </si>
  <si>
    <t>12罐*140</t>
    <phoneticPr fontId="3" type="noConversion"/>
  </si>
  <si>
    <t>撞球</t>
    <phoneticPr fontId="3" type="noConversion"/>
  </si>
  <si>
    <t>場地總金額</t>
    <phoneticPr fontId="3" type="noConversion"/>
  </si>
  <si>
    <t>桌子+椅子</t>
    <phoneticPr fontId="3" type="noConversion"/>
  </si>
  <si>
    <t>球具採購</t>
    <phoneticPr fontId="3" type="noConversion"/>
  </si>
  <si>
    <t>總計</t>
    <phoneticPr fontId="3" type="noConversion"/>
  </si>
  <si>
    <t>隊數</t>
    <phoneticPr fontId="3" type="noConversion"/>
  </si>
  <si>
    <t>攤提費用</t>
    <phoneticPr fontId="3" type="noConversion"/>
  </si>
  <si>
    <t>報名費</t>
    <phoneticPr fontId="3" type="noConversion"/>
  </si>
  <si>
    <t>獎金</t>
    <phoneticPr fontId="3" type="noConversion"/>
  </si>
  <si>
    <t>獎牌</t>
    <phoneticPr fontId="3" type="noConversion"/>
  </si>
  <si>
    <t>撞球建議</t>
    <phoneticPr fontId="3" type="noConversion"/>
  </si>
  <si>
    <t>撞球場地</t>
    <phoneticPr fontId="3" type="noConversion"/>
  </si>
  <si>
    <t>張桌子+張椅子</t>
    <phoneticPr fontId="3" type="noConversion"/>
  </si>
  <si>
    <t>三個</t>
    <phoneticPr fontId="3" type="noConversion"/>
  </si>
  <si>
    <t>費用</t>
    <phoneticPr fontId="3" type="noConversion"/>
  </si>
  <si>
    <t>項目</t>
    <phoneticPr fontId="3" type="noConversion"/>
  </si>
  <si>
    <t>單價</t>
    <phoneticPr fontId="3" type="noConversion"/>
  </si>
  <si>
    <t>數量</t>
    <phoneticPr fontId="3" type="noConversion"/>
  </si>
  <si>
    <t>小計</t>
    <phoneticPr fontId="3" type="noConversion"/>
  </si>
  <si>
    <t>工作證</t>
    <phoneticPr fontId="3" type="noConversion"/>
  </si>
  <si>
    <t>支出</t>
    <phoneticPr fontId="3" type="noConversion"/>
  </si>
  <si>
    <t>裁判證</t>
    <phoneticPr fontId="3" type="noConversion"/>
  </si>
  <si>
    <t>總支出</t>
    <phoneticPr fontId="2" type="noConversion"/>
  </si>
  <si>
    <t>海報</t>
    <phoneticPr fontId="3" type="noConversion"/>
  </si>
  <si>
    <t>總收入</t>
    <phoneticPr fontId="3" type="noConversion"/>
  </si>
  <si>
    <t>賽程海報</t>
    <phoneticPr fontId="3" type="noConversion"/>
  </si>
  <si>
    <t>總計</t>
    <phoneticPr fontId="3" type="noConversion"/>
  </si>
  <si>
    <t>秩序手冊</t>
    <phoneticPr fontId="3" type="noConversion"/>
  </si>
  <si>
    <t>工作服</t>
    <phoneticPr fontId="3" type="noConversion"/>
  </si>
  <si>
    <t>選手證</t>
    <phoneticPr fontId="3" type="noConversion"/>
  </si>
  <si>
    <t>影印費</t>
    <phoneticPr fontId="3" type="noConversion"/>
  </si>
  <si>
    <t>郵資</t>
    <phoneticPr fontId="3" type="noConversion"/>
  </si>
  <si>
    <t>一領雜支</t>
    <phoneticPr fontId="3" type="noConversion"/>
  </si>
  <si>
    <t>二領雜支</t>
    <phoneticPr fontId="3" type="noConversion"/>
  </si>
  <si>
    <t>工人保險</t>
    <phoneticPr fontId="3" type="noConversion"/>
  </si>
  <si>
    <t>便當</t>
    <phoneticPr fontId="3" type="noConversion"/>
  </si>
  <si>
    <t>水</t>
    <phoneticPr fontId="3" type="noConversion"/>
  </si>
  <si>
    <t>救護箱</t>
    <phoneticPr fontId="3" type="noConversion"/>
  </si>
  <si>
    <t>雜支</t>
    <phoneticPr fontId="3" type="noConversion"/>
  </si>
  <si>
    <t>膠帶等文具</t>
    <phoneticPr fontId="3" type="noConversion"/>
  </si>
  <si>
    <t>總計</t>
    <phoneticPr fontId="3" type="noConversion"/>
  </si>
  <si>
    <t>各隊分擔</t>
    <phoneticPr fontId="3" type="noConversion"/>
  </si>
  <si>
    <t>有加人事費(學校體育館的行政人員)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</si>
</sst>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9C0006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</fills>
  <borders count="6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1" applyNumberFormat="0" applyAlignment="0" applyProtection="0">
      <alignment vertical="center"/>
    </xf>
    <xf numFmtId="0" fontId="7" fillId="3" borderId="1" applyNumberFormat="0" applyAlignment="0" applyProtection="0">
      <alignment vertical="center"/>
    </xf>
  </cellStyleXfs>
  <cellXfs count="181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5" fillId="2" borderId="22" xfId="2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5" fillId="2" borderId="28" xfId="2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3" fontId="1" fillId="0" borderId="28" xfId="1" applyNumberFormat="1" applyBorder="1" applyAlignment="1">
      <alignment horizontal="center" vertical="center"/>
    </xf>
    <xf numFmtId="3" fontId="1" fillId="4" borderId="10" xfId="1" applyNumberFormat="1" applyFill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5" fillId="2" borderId="2" xfId="2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4" borderId="33" xfId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5" fillId="2" borderId="10" xfId="2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4" borderId="44" xfId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3" fontId="1" fillId="4" borderId="33" xfId="1" applyNumberForma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5" fillId="2" borderId="33" xfId="2" applyBorder="1" applyAlignment="1">
      <alignment horizontal="center" vertical="center"/>
    </xf>
    <xf numFmtId="176" fontId="1" fillId="0" borderId="33" xfId="1" applyNumberFormat="1" applyBorder="1" applyAlignment="1">
      <alignment horizontal="center" vertical="center"/>
    </xf>
    <xf numFmtId="176" fontId="1" fillId="4" borderId="47" xfId="1" applyNumberFormat="1" applyFill="1" applyBorder="1" applyAlignment="1">
      <alignment horizontal="center" vertical="center"/>
    </xf>
    <xf numFmtId="176" fontId="1" fillId="0" borderId="47" xfId="1" applyNumberForma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" fontId="1" fillId="0" borderId="0" xfId="1" applyNumberForma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1" fillId="0" borderId="5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3" fontId="1" fillId="0" borderId="28" xfId="1" applyNumberFormat="1" applyFont="1" applyBorder="1" applyAlignment="1">
      <alignment horizontal="center" vertical="center"/>
    </xf>
    <xf numFmtId="3" fontId="4" fillId="4" borderId="33" xfId="1" applyNumberFormat="1" applyFont="1" applyFill="1" applyBorder="1" applyAlignment="1">
      <alignment horizontal="center" vertical="center"/>
    </xf>
    <xf numFmtId="0" fontId="1" fillId="0" borderId="0" xfId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13" xfId="1" applyNumberFormat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58" xfId="1" applyFill="1" applyBorder="1" applyAlignment="1">
      <alignment horizontal="center" vertical="center"/>
    </xf>
    <xf numFmtId="176" fontId="1" fillId="5" borderId="59" xfId="1" applyNumberFormat="1" applyFill="1" applyBorder="1" applyAlignment="1">
      <alignment horizontal="center" vertical="center"/>
    </xf>
    <xf numFmtId="176" fontId="1" fillId="6" borderId="12" xfId="1" applyNumberFormat="1" applyFill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>
      <alignment vertical="center"/>
    </xf>
    <xf numFmtId="0" fontId="1" fillId="0" borderId="38" xfId="1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44" xfId="1" applyFont="1" applyFill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5" fillId="2" borderId="44" xfId="2" applyBorder="1" applyAlignment="1">
      <alignment horizontal="center" vertical="center"/>
    </xf>
    <xf numFmtId="0" fontId="5" fillId="2" borderId="10" xfId="2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1" fillId="4" borderId="44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5" fillId="2" borderId="2" xfId="2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4" borderId="10" xfId="1" applyFill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6">
    <cellStyle name="一般" xfId="0" builtinId="0"/>
    <cellStyle name="一般 2" xfId="1"/>
    <cellStyle name="一般 3" xfId="3"/>
    <cellStyle name="輸出 4" xfId="4"/>
    <cellStyle name="輸出 5" xfId="5"/>
    <cellStyle name="壞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tabSelected="1" topLeftCell="A28" zoomScale="85" zoomScaleNormal="85" workbookViewId="0">
      <selection activeCell="X18" sqref="X18"/>
    </sheetView>
  </sheetViews>
  <sheetFormatPr defaultColWidth="9" defaultRowHeight="16.2" x14ac:dyDescent="0.3"/>
  <cols>
    <col min="1" max="12" width="9" style="1"/>
    <col min="13" max="13" width="14" style="1" customWidth="1"/>
    <col min="14" max="15" width="11" style="1" customWidth="1"/>
    <col min="16" max="16" width="9.88671875" style="1" customWidth="1"/>
    <col min="17" max="21" width="9" style="1"/>
    <col min="22" max="22" width="11" style="1" customWidth="1"/>
    <col min="23" max="23" width="11.21875" style="1" customWidth="1"/>
    <col min="24" max="24" width="9" style="1"/>
    <col min="25" max="25" width="10.33203125" style="1" customWidth="1"/>
    <col min="26" max="26" width="11.44140625" style="1" customWidth="1"/>
    <col min="27" max="27" width="9.77734375" style="1" customWidth="1"/>
    <col min="28" max="28" width="9" style="1"/>
    <col min="29" max="29" width="10.6640625" style="1" customWidth="1"/>
    <col min="30" max="16384" width="9" style="1"/>
  </cols>
  <sheetData>
    <row r="1" spans="1:34" ht="16.8" thickBot="1" x14ac:dyDescent="0.35">
      <c r="A1" s="147" t="s">
        <v>0</v>
      </c>
      <c r="B1" s="177" t="s">
        <v>1</v>
      </c>
      <c r="C1" s="178"/>
      <c r="D1" s="178"/>
      <c r="E1" s="179" t="s">
        <v>2</v>
      </c>
      <c r="F1" s="179"/>
      <c r="G1" s="179"/>
      <c r="H1" s="135" t="s">
        <v>3</v>
      </c>
      <c r="I1" s="135"/>
      <c r="J1" s="135"/>
      <c r="K1" s="135"/>
      <c r="L1" s="136"/>
      <c r="M1" s="151" t="s">
        <v>4</v>
      </c>
      <c r="N1" s="152"/>
      <c r="O1" s="152"/>
      <c r="P1" s="152"/>
      <c r="Q1" s="152"/>
      <c r="R1" s="159"/>
      <c r="S1" s="161" t="s">
        <v>5</v>
      </c>
      <c r="T1" s="162"/>
      <c r="U1" s="162"/>
      <c r="V1" s="162"/>
      <c r="W1" s="180"/>
      <c r="X1" s="151" t="s">
        <v>6</v>
      </c>
      <c r="Y1" s="152"/>
      <c r="Z1" s="159"/>
      <c r="AA1" s="160" t="s">
        <v>7</v>
      </c>
      <c r="AB1" s="147" t="s">
        <v>8</v>
      </c>
      <c r="AC1" s="147" t="s">
        <v>9</v>
      </c>
      <c r="AE1" s="2" t="s">
        <v>10</v>
      </c>
    </row>
    <row r="2" spans="1:34" ht="16.8" thickBot="1" x14ac:dyDescent="0.35">
      <c r="A2" s="148"/>
      <c r="B2" s="118"/>
      <c r="C2" s="175"/>
      <c r="D2" s="175"/>
      <c r="E2" s="176"/>
      <c r="F2" s="176"/>
      <c r="G2" s="176"/>
      <c r="H2" s="3" t="s">
        <v>11</v>
      </c>
      <c r="I2" s="4" t="s">
        <v>12</v>
      </c>
      <c r="J2" s="4" t="s">
        <v>13</v>
      </c>
      <c r="K2" s="4" t="s">
        <v>14</v>
      </c>
      <c r="L2" s="5" t="s">
        <v>15</v>
      </c>
      <c r="M2" s="6" t="s">
        <v>16</v>
      </c>
      <c r="N2" s="7"/>
      <c r="O2" s="7"/>
      <c r="P2" s="7" t="s">
        <v>17</v>
      </c>
      <c r="Q2" s="7" t="s">
        <v>18</v>
      </c>
      <c r="R2" s="8" t="s">
        <v>19</v>
      </c>
      <c r="S2" s="9" t="s">
        <v>20</v>
      </c>
      <c r="T2" s="10" t="s">
        <v>21</v>
      </c>
      <c r="U2" s="10" t="s">
        <v>17</v>
      </c>
      <c r="V2" s="10" t="s">
        <v>18</v>
      </c>
      <c r="W2" s="11" t="s">
        <v>19</v>
      </c>
      <c r="X2" s="7" t="s">
        <v>22</v>
      </c>
      <c r="Y2" s="7" t="s">
        <v>18</v>
      </c>
      <c r="Z2" s="8" t="s">
        <v>19</v>
      </c>
      <c r="AA2" s="146"/>
      <c r="AB2" s="148"/>
      <c r="AC2" s="148"/>
      <c r="AE2" s="149" t="s">
        <v>23</v>
      </c>
    </row>
    <row r="3" spans="1:34" ht="16.8" thickBot="1" x14ac:dyDescent="0.35">
      <c r="A3" s="12" t="s">
        <v>24</v>
      </c>
      <c r="B3" s="175">
        <f>15000*2+9000</f>
        <v>39000</v>
      </c>
      <c r="C3" s="175"/>
      <c r="D3" s="175"/>
      <c r="E3" s="176" t="s">
        <v>25</v>
      </c>
      <c r="F3" s="176"/>
      <c r="G3" s="176"/>
      <c r="H3" s="13">
        <v>7</v>
      </c>
      <c r="I3" s="14">
        <v>3</v>
      </c>
      <c r="J3" s="14"/>
      <c r="K3" s="14"/>
      <c r="L3" s="15" t="s">
        <v>26</v>
      </c>
      <c r="M3" s="13">
        <v>1500</v>
      </c>
      <c r="N3" s="14"/>
      <c r="O3" s="14"/>
      <c r="P3" s="14">
        <v>76</v>
      </c>
      <c r="Q3" s="14">
        <v>900</v>
      </c>
      <c r="R3" s="15">
        <f>SUM(P3*Q3)</f>
        <v>68400</v>
      </c>
      <c r="S3" s="16"/>
      <c r="T3" s="17"/>
      <c r="U3" s="17">
        <v>70</v>
      </c>
      <c r="V3" s="17">
        <v>0</v>
      </c>
      <c r="W3" s="18">
        <f>SUM(U3*V3)</f>
        <v>0</v>
      </c>
      <c r="X3" s="19">
        <v>1</v>
      </c>
      <c r="Y3" s="19">
        <v>2000</v>
      </c>
      <c r="Z3" s="19">
        <f>X3*Y3</f>
        <v>2000</v>
      </c>
      <c r="AA3" s="20"/>
      <c r="AB3" s="21"/>
      <c r="AC3" s="21"/>
      <c r="AE3" s="174"/>
    </row>
    <row r="4" spans="1:34" ht="16.8" thickBot="1" x14ac:dyDescent="0.35">
      <c r="A4" s="22" t="s">
        <v>27</v>
      </c>
      <c r="B4" s="172">
        <f>B3</f>
        <v>39000</v>
      </c>
      <c r="C4" s="172"/>
      <c r="D4" s="172"/>
      <c r="E4" s="173"/>
      <c r="F4" s="173"/>
      <c r="G4" s="173"/>
      <c r="H4" s="22">
        <f>H3*560</f>
        <v>3920</v>
      </c>
      <c r="I4" s="23">
        <f>I3*560</f>
        <v>1680</v>
      </c>
      <c r="J4" s="23"/>
      <c r="K4" s="23"/>
      <c r="L4" s="24">
        <v>6000</v>
      </c>
      <c r="M4" s="25">
        <f>M3*2*2</f>
        <v>6000</v>
      </c>
      <c r="N4" s="23"/>
      <c r="O4" s="23"/>
      <c r="P4" s="23"/>
      <c r="Q4" s="23"/>
      <c r="R4" s="24">
        <f>R3</f>
        <v>68400</v>
      </c>
      <c r="S4" s="26"/>
      <c r="T4" s="27"/>
      <c r="U4" s="27"/>
      <c r="V4" s="27"/>
      <c r="W4" s="28">
        <f>W3</f>
        <v>0</v>
      </c>
      <c r="X4" s="29"/>
      <c r="Y4" s="29"/>
      <c r="Z4" s="29">
        <f>Z3*2</f>
        <v>4000</v>
      </c>
      <c r="AA4" s="30">
        <f>SUM(B4:Z4)</f>
        <v>129000</v>
      </c>
      <c r="AB4" s="31">
        <v>48</v>
      </c>
      <c r="AC4" s="32">
        <f>SUM(AA4/AB4)</f>
        <v>2687.5</v>
      </c>
      <c r="AE4" s="33">
        <f>AC4+720</f>
        <v>3407.5</v>
      </c>
    </row>
    <row r="5" spans="1:34" x14ac:dyDescent="0.3">
      <c r="AE5" s="1">
        <v>3500</v>
      </c>
    </row>
    <row r="7" spans="1:34" ht="16.8" thickBot="1" x14ac:dyDescent="0.35">
      <c r="V7" s="34"/>
      <c r="W7" s="34"/>
      <c r="X7" s="34"/>
    </row>
    <row r="8" spans="1:34" ht="16.8" thickBot="1" x14ac:dyDescent="0.35">
      <c r="A8" s="147" t="s">
        <v>28</v>
      </c>
      <c r="B8" s="151" t="s">
        <v>1</v>
      </c>
      <c r="C8" s="152"/>
      <c r="D8" s="153"/>
      <c r="E8" s="157" t="s">
        <v>2</v>
      </c>
      <c r="F8" s="152"/>
      <c r="G8" s="153"/>
      <c r="H8" s="134" t="s">
        <v>3</v>
      </c>
      <c r="I8" s="135"/>
      <c r="J8" s="135"/>
      <c r="K8" s="135"/>
      <c r="L8" s="136"/>
      <c r="M8" s="151" t="s">
        <v>4</v>
      </c>
      <c r="N8" s="152"/>
      <c r="O8" s="152"/>
      <c r="P8" s="152"/>
      <c r="Q8" s="152"/>
      <c r="R8" s="159"/>
      <c r="S8" s="151" t="s">
        <v>6</v>
      </c>
      <c r="T8" s="152"/>
      <c r="U8" s="159"/>
      <c r="V8" s="169" t="s">
        <v>29</v>
      </c>
      <c r="W8" s="170"/>
      <c r="X8" s="171"/>
      <c r="Y8" s="35" t="s">
        <v>7</v>
      </c>
      <c r="Z8" s="36" t="s">
        <v>8</v>
      </c>
      <c r="AA8" s="36" t="s">
        <v>9</v>
      </c>
      <c r="AC8" s="37" t="s">
        <v>10</v>
      </c>
    </row>
    <row r="9" spans="1:34" ht="16.8" thickBot="1" x14ac:dyDescent="0.35">
      <c r="A9" s="148"/>
      <c r="B9" s="154"/>
      <c r="C9" s="155"/>
      <c r="D9" s="156"/>
      <c r="E9" s="158"/>
      <c r="F9" s="155"/>
      <c r="G9" s="156"/>
      <c r="H9" s="22" t="s">
        <v>30</v>
      </c>
      <c r="I9" s="23" t="s">
        <v>31</v>
      </c>
      <c r="J9" s="23" t="s">
        <v>32</v>
      </c>
      <c r="K9" s="38" t="s">
        <v>33</v>
      </c>
      <c r="L9" s="24" t="s">
        <v>15</v>
      </c>
      <c r="M9" s="6" t="s">
        <v>34</v>
      </c>
      <c r="N9" s="7" t="s">
        <v>21</v>
      </c>
      <c r="O9" s="7"/>
      <c r="P9" s="7" t="s">
        <v>17</v>
      </c>
      <c r="Q9" s="7" t="s">
        <v>18</v>
      </c>
      <c r="R9" s="8" t="s">
        <v>19</v>
      </c>
      <c r="S9" s="7" t="s">
        <v>22</v>
      </c>
      <c r="T9" s="7" t="s">
        <v>18</v>
      </c>
      <c r="U9" s="8" t="s">
        <v>19</v>
      </c>
      <c r="V9" s="10" t="s">
        <v>22</v>
      </c>
      <c r="W9" s="10" t="s">
        <v>18</v>
      </c>
      <c r="X9" s="39" t="s">
        <v>19</v>
      </c>
      <c r="Y9" s="40"/>
      <c r="Z9" s="41"/>
      <c r="AA9" s="41"/>
      <c r="AC9" s="2" t="s">
        <v>35</v>
      </c>
    </row>
    <row r="10" spans="1:34" ht="16.8" thickBot="1" x14ac:dyDescent="0.35">
      <c r="A10" s="12" t="s">
        <v>36</v>
      </c>
      <c r="B10" s="131">
        <f>20640+6000</f>
        <v>26640</v>
      </c>
      <c r="C10" s="132"/>
      <c r="D10" s="133"/>
      <c r="E10" s="131" t="s">
        <v>25</v>
      </c>
      <c r="F10" s="132"/>
      <c r="G10" s="133"/>
      <c r="H10" s="12"/>
      <c r="I10" s="42"/>
      <c r="J10" s="42">
        <v>5</v>
      </c>
      <c r="K10" s="43">
        <v>3</v>
      </c>
      <c r="L10" s="15" t="s">
        <v>26</v>
      </c>
      <c r="M10" s="13">
        <v>2000</v>
      </c>
      <c r="N10" s="14"/>
      <c r="O10" s="14"/>
      <c r="P10" s="14">
        <v>68</v>
      </c>
      <c r="Q10" s="14">
        <v>800</v>
      </c>
      <c r="R10" s="15">
        <f>P10*Q10</f>
        <v>54400</v>
      </c>
      <c r="S10" s="19">
        <v>0</v>
      </c>
      <c r="T10" s="19">
        <v>2000</v>
      </c>
      <c r="U10" s="19">
        <f>S10*T10</f>
        <v>0</v>
      </c>
      <c r="V10" s="44">
        <v>0</v>
      </c>
      <c r="W10" s="45">
        <v>1600</v>
      </c>
      <c r="X10" s="46">
        <f>V10*W10</f>
        <v>0</v>
      </c>
      <c r="Y10" s="20"/>
      <c r="Z10" s="21"/>
      <c r="AA10" s="21"/>
      <c r="AC10" s="47"/>
    </row>
    <row r="11" spans="1:34" ht="16.8" thickBot="1" x14ac:dyDescent="0.35">
      <c r="A11" s="22" t="s">
        <v>27</v>
      </c>
      <c r="B11" s="137">
        <f>B10</f>
        <v>26640</v>
      </c>
      <c r="C11" s="138"/>
      <c r="D11" s="139"/>
      <c r="E11" s="137"/>
      <c r="F11" s="138"/>
      <c r="G11" s="139"/>
      <c r="H11" s="22"/>
      <c r="I11" s="23"/>
      <c r="J11" s="23">
        <f>J10*1600</f>
        <v>8000</v>
      </c>
      <c r="K11" s="24">
        <f>K10*1600</f>
        <v>4800</v>
      </c>
      <c r="L11" s="24">
        <f>3000*2</f>
        <v>6000</v>
      </c>
      <c r="M11" s="25">
        <f>M10*2</f>
        <v>4000</v>
      </c>
      <c r="N11" s="23"/>
      <c r="O11" s="23"/>
      <c r="P11" s="23"/>
      <c r="Q11" s="23"/>
      <c r="R11" s="24">
        <f>R10</f>
        <v>54400</v>
      </c>
      <c r="S11" s="29"/>
      <c r="T11" s="29"/>
      <c r="U11" s="29">
        <f>U10</f>
        <v>0</v>
      </c>
      <c r="V11" s="48"/>
      <c r="W11" s="48"/>
      <c r="X11" s="48">
        <f>X10</f>
        <v>0</v>
      </c>
      <c r="Y11" s="30">
        <f>SUM(B11:X11)</f>
        <v>103840</v>
      </c>
      <c r="Z11" s="31">
        <v>39</v>
      </c>
      <c r="AA11" s="32">
        <f>Y11/Z11</f>
        <v>2662.5641025641025</v>
      </c>
      <c r="AC11" s="49">
        <f>SUM(AA11:AB11)+720</f>
        <v>3382.5641025641025</v>
      </c>
    </row>
    <row r="12" spans="1:34" x14ac:dyDescent="0.3">
      <c r="AC12" s="1">
        <v>3500</v>
      </c>
    </row>
    <row r="13" spans="1:34" ht="16.8" thickBot="1" x14ac:dyDescent="0.35">
      <c r="N13" s="34"/>
      <c r="O13" s="7"/>
      <c r="R13" s="7"/>
      <c r="S13" s="7"/>
      <c r="T13" s="7"/>
      <c r="Z13" s="34"/>
      <c r="AA13" s="34"/>
      <c r="AB13" s="34"/>
      <c r="AC13" s="7"/>
      <c r="AE13" s="7"/>
      <c r="AF13" s="7"/>
      <c r="AG13" s="7"/>
      <c r="AH13" s="7"/>
    </row>
    <row r="14" spans="1:34" ht="16.8" thickBot="1" x14ac:dyDescent="0.35">
      <c r="A14" s="147" t="s">
        <v>37</v>
      </c>
      <c r="B14" s="151" t="s">
        <v>1</v>
      </c>
      <c r="C14" s="152"/>
      <c r="D14" s="153"/>
      <c r="E14" s="157" t="s">
        <v>2</v>
      </c>
      <c r="F14" s="152"/>
      <c r="G14" s="153"/>
      <c r="H14" s="151" t="s">
        <v>3</v>
      </c>
      <c r="I14" s="152"/>
      <c r="J14" s="152"/>
      <c r="K14" s="152"/>
      <c r="L14" s="159"/>
      <c r="M14" s="50" t="s">
        <v>4</v>
      </c>
      <c r="N14" s="51"/>
      <c r="O14" s="51"/>
      <c r="P14" s="151" t="s">
        <v>6</v>
      </c>
      <c r="Q14" s="152"/>
      <c r="R14" s="159"/>
      <c r="S14" s="160" t="s">
        <v>7</v>
      </c>
      <c r="U14" s="151" t="s">
        <v>38</v>
      </c>
      <c r="V14" s="152"/>
      <c r="W14" s="152"/>
      <c r="X14" s="159"/>
      <c r="Y14" s="151" t="s">
        <v>39</v>
      </c>
      <c r="Z14" s="152"/>
      <c r="AA14" s="152"/>
      <c r="AB14" s="159"/>
      <c r="AC14" s="7"/>
      <c r="AD14" s="7"/>
      <c r="AE14" s="7"/>
      <c r="AF14" s="7"/>
      <c r="AG14" s="7"/>
    </row>
    <row r="15" spans="1:34" ht="16.8" thickBot="1" x14ac:dyDescent="0.35">
      <c r="A15" s="148"/>
      <c r="B15" s="154"/>
      <c r="C15" s="155"/>
      <c r="D15" s="156"/>
      <c r="E15" s="158"/>
      <c r="F15" s="155"/>
      <c r="G15" s="156"/>
      <c r="H15" s="166" t="s">
        <v>37</v>
      </c>
      <c r="I15" s="167"/>
      <c r="J15" s="167"/>
      <c r="K15" s="34" t="s">
        <v>40</v>
      </c>
      <c r="L15" s="52" t="s">
        <v>15</v>
      </c>
      <c r="M15" s="9" t="s">
        <v>41</v>
      </c>
      <c r="N15" s="53" t="s">
        <v>34</v>
      </c>
      <c r="O15" s="11" t="s">
        <v>42</v>
      </c>
      <c r="P15" s="6" t="s">
        <v>22</v>
      </c>
      <c r="Q15" s="34" t="s">
        <v>18</v>
      </c>
      <c r="R15" s="52" t="s">
        <v>19</v>
      </c>
      <c r="S15" s="146"/>
      <c r="U15" s="54" t="s">
        <v>27</v>
      </c>
      <c r="V15" s="54" t="s">
        <v>43</v>
      </c>
      <c r="W15" s="55" t="s">
        <v>8</v>
      </c>
      <c r="X15" s="37" t="s">
        <v>10</v>
      </c>
      <c r="Y15" s="55" t="s">
        <v>27</v>
      </c>
      <c r="Z15" s="54" t="s">
        <v>44</v>
      </c>
      <c r="AA15" s="56" t="s">
        <v>45</v>
      </c>
      <c r="AB15" s="37" t="s">
        <v>10</v>
      </c>
      <c r="AC15" s="7"/>
      <c r="AD15" s="7"/>
      <c r="AE15" s="7"/>
      <c r="AF15" s="7"/>
      <c r="AG15" s="7"/>
    </row>
    <row r="16" spans="1:34" ht="16.8" thickBot="1" x14ac:dyDescent="0.35">
      <c r="A16" s="12" t="s">
        <v>46</v>
      </c>
      <c r="B16" s="131">
        <f>27600</f>
        <v>27600</v>
      </c>
      <c r="C16" s="132"/>
      <c r="D16" s="133"/>
      <c r="E16" s="131" t="s">
        <v>25</v>
      </c>
      <c r="F16" s="132"/>
      <c r="G16" s="168"/>
      <c r="H16" s="134" t="s">
        <v>47</v>
      </c>
      <c r="I16" s="135"/>
      <c r="J16" s="135"/>
      <c r="K16" s="57" t="s">
        <v>48</v>
      </c>
      <c r="L16" s="19" t="s">
        <v>48</v>
      </c>
      <c r="M16" s="58">
        <f>8*2000</f>
        <v>16000</v>
      </c>
      <c r="N16" s="58">
        <v>2500</v>
      </c>
      <c r="O16" s="59">
        <f>M16+N16</f>
        <v>18500</v>
      </c>
      <c r="P16" s="21">
        <v>1</v>
      </c>
      <c r="Q16" s="36">
        <v>2000</v>
      </c>
      <c r="R16" s="1">
        <f>P16*Q16</f>
        <v>2000</v>
      </c>
      <c r="S16" s="60"/>
      <c r="U16" s="61">
        <f>S17*2/3</f>
        <v>49533.333333333336</v>
      </c>
      <c r="V16" s="61">
        <v>3000</v>
      </c>
      <c r="W16" s="61">
        <v>19</v>
      </c>
      <c r="X16" s="62">
        <f>(U16+V16)/W16+720</f>
        <v>3484.9122807017543</v>
      </c>
      <c r="Y16" s="63">
        <f>S17/3</f>
        <v>24766.666666666668</v>
      </c>
      <c r="Z16" s="61">
        <v>900</v>
      </c>
      <c r="AA16" s="63">
        <v>55</v>
      </c>
      <c r="AB16" s="62">
        <f>(Y16+Z16)/AA16+72</f>
        <v>538.66666666666674</v>
      </c>
    </row>
    <row r="17" spans="1:31" ht="16.8" thickBot="1" x14ac:dyDescent="0.35">
      <c r="A17" s="22" t="s">
        <v>27</v>
      </c>
      <c r="B17" s="137">
        <f>B16</f>
        <v>27600</v>
      </c>
      <c r="C17" s="138"/>
      <c r="D17" s="139"/>
      <c r="E17" s="137"/>
      <c r="F17" s="138"/>
      <c r="G17" s="141"/>
      <c r="H17" s="140">
        <f>450*4</f>
        <v>1800</v>
      </c>
      <c r="I17" s="138"/>
      <c r="J17" s="138"/>
      <c r="K17" s="64">
        <v>900</v>
      </c>
      <c r="L17" s="29">
        <v>3000</v>
      </c>
      <c r="M17" s="65"/>
      <c r="N17" s="65"/>
      <c r="O17" s="39">
        <f>O16*2</f>
        <v>37000</v>
      </c>
      <c r="P17" s="31"/>
      <c r="Q17" s="31"/>
      <c r="R17" s="31">
        <f>R16*2</f>
        <v>4000</v>
      </c>
      <c r="S17" s="40">
        <f>SUM(B17:R17)</f>
        <v>74300</v>
      </c>
      <c r="U17" s="7"/>
      <c r="V17" s="7"/>
      <c r="W17" s="7"/>
      <c r="X17" s="7">
        <v>3500</v>
      </c>
      <c r="Y17" s="7"/>
      <c r="Z17" s="7"/>
      <c r="AA17" s="66"/>
      <c r="AB17" s="1">
        <v>400</v>
      </c>
    </row>
    <row r="19" spans="1:31" ht="16.8" thickBot="1" x14ac:dyDescent="0.35">
      <c r="P19" s="34"/>
      <c r="Q19" s="34"/>
      <c r="R19" s="34"/>
    </row>
    <row r="20" spans="1:31" ht="16.8" thickBot="1" x14ac:dyDescent="0.35">
      <c r="A20" s="147" t="s">
        <v>49</v>
      </c>
      <c r="B20" s="151" t="s">
        <v>1</v>
      </c>
      <c r="C20" s="152"/>
      <c r="D20" s="153"/>
      <c r="E20" s="157" t="s">
        <v>2</v>
      </c>
      <c r="F20" s="152"/>
      <c r="G20" s="153"/>
      <c r="H20" s="151" t="s">
        <v>3</v>
      </c>
      <c r="I20" s="152"/>
      <c r="J20" s="152"/>
      <c r="K20" s="152"/>
      <c r="L20" s="159"/>
      <c r="M20" s="161" t="s">
        <v>4</v>
      </c>
      <c r="N20" s="162"/>
      <c r="O20" s="67"/>
      <c r="P20" s="142" t="s">
        <v>6</v>
      </c>
      <c r="Q20" s="143"/>
      <c r="R20" s="144"/>
      <c r="S20" s="35" t="s">
        <v>7</v>
      </c>
      <c r="T20" s="7"/>
      <c r="U20" s="7"/>
      <c r="V20" s="7"/>
      <c r="X20" s="163" t="s">
        <v>38</v>
      </c>
      <c r="Y20" s="164"/>
      <c r="Z20" s="164"/>
      <c r="AA20" s="165"/>
      <c r="AB20" s="163" t="s">
        <v>39</v>
      </c>
      <c r="AC20" s="164"/>
      <c r="AD20" s="164"/>
      <c r="AE20" s="165"/>
    </row>
    <row r="21" spans="1:31" ht="16.8" thickBot="1" x14ac:dyDescent="0.35">
      <c r="A21" s="148"/>
      <c r="B21" s="154"/>
      <c r="C21" s="155"/>
      <c r="D21" s="156"/>
      <c r="E21" s="158"/>
      <c r="F21" s="155"/>
      <c r="G21" s="156"/>
      <c r="H21" s="166" t="s">
        <v>49</v>
      </c>
      <c r="I21" s="167"/>
      <c r="J21" s="167"/>
      <c r="K21" s="34" t="s">
        <v>40</v>
      </c>
      <c r="L21" s="52" t="s">
        <v>15</v>
      </c>
      <c r="M21" s="68" t="s">
        <v>50</v>
      </c>
      <c r="N21" s="53" t="s">
        <v>34</v>
      </c>
      <c r="O21" s="39" t="s">
        <v>19</v>
      </c>
      <c r="P21" s="7" t="s">
        <v>22</v>
      </c>
      <c r="Q21" s="7" t="s">
        <v>18</v>
      </c>
      <c r="R21" s="52" t="s">
        <v>19</v>
      </c>
      <c r="S21" s="40"/>
      <c r="X21" s="54" t="s">
        <v>27</v>
      </c>
      <c r="Y21" s="54" t="s">
        <v>43</v>
      </c>
      <c r="Z21" s="55" t="s">
        <v>8</v>
      </c>
      <c r="AA21" s="37" t="s">
        <v>10</v>
      </c>
      <c r="AB21" s="55" t="s">
        <v>27</v>
      </c>
      <c r="AC21" s="54" t="s">
        <v>51</v>
      </c>
      <c r="AD21" s="56" t="s">
        <v>45</v>
      </c>
      <c r="AE21" s="37" t="s">
        <v>10</v>
      </c>
    </row>
    <row r="22" spans="1:31" ht="16.8" thickBot="1" x14ac:dyDescent="0.35">
      <c r="A22" s="12" t="s">
        <v>52</v>
      </c>
      <c r="B22" s="131">
        <v>24000</v>
      </c>
      <c r="C22" s="132"/>
      <c r="D22" s="133"/>
      <c r="E22" s="131" t="s">
        <v>25</v>
      </c>
      <c r="F22" s="132"/>
      <c r="G22" s="133"/>
      <c r="H22" s="134" t="s">
        <v>53</v>
      </c>
      <c r="I22" s="135"/>
      <c r="J22" s="135"/>
      <c r="K22" s="57" t="s">
        <v>54</v>
      </c>
      <c r="L22" s="19" t="s">
        <v>48</v>
      </c>
      <c r="M22" s="69">
        <f>10*2000</f>
        <v>20000</v>
      </c>
      <c r="N22" s="70">
        <v>2500</v>
      </c>
      <c r="O22" s="71">
        <f>M22+N22</f>
        <v>22500</v>
      </c>
      <c r="P22" s="21">
        <v>1</v>
      </c>
      <c r="Q22" s="36">
        <v>2000</v>
      </c>
      <c r="R22" s="1">
        <f>P22*Q22</f>
        <v>2000</v>
      </c>
      <c r="S22" s="20"/>
      <c r="X22" s="61">
        <f>S23*2/3</f>
        <v>63266.666666666664</v>
      </c>
      <c r="Y22" s="61">
        <v>3000</v>
      </c>
      <c r="Z22" s="61">
        <v>30</v>
      </c>
      <c r="AA22" s="62">
        <f>(X22+Y22)/Z22+720</f>
        <v>2928.8888888888887</v>
      </c>
      <c r="AB22" s="63">
        <f>S23/3</f>
        <v>31633.333333333332</v>
      </c>
      <c r="AC22" s="61">
        <f>3*900</f>
        <v>2700</v>
      </c>
      <c r="AD22" s="63">
        <v>60</v>
      </c>
      <c r="AE22" s="62">
        <f>(AB22+AC22)/AD22+72</f>
        <v>644.22222222222217</v>
      </c>
    </row>
    <row r="23" spans="1:31" ht="16.8" thickBot="1" x14ac:dyDescent="0.35">
      <c r="A23" s="22" t="s">
        <v>27</v>
      </c>
      <c r="B23" s="137">
        <v>24000</v>
      </c>
      <c r="C23" s="138"/>
      <c r="D23" s="139"/>
      <c r="E23" s="137"/>
      <c r="F23" s="138"/>
      <c r="G23" s="139"/>
      <c r="H23" s="140">
        <f>45*360</f>
        <v>16200</v>
      </c>
      <c r="I23" s="138"/>
      <c r="J23" s="138"/>
      <c r="K23" s="64">
        <f>900*3</f>
        <v>2700</v>
      </c>
      <c r="L23" s="29">
        <v>3000</v>
      </c>
      <c r="M23" s="72"/>
      <c r="N23" s="53"/>
      <c r="O23" s="73">
        <f>O22*2</f>
        <v>45000</v>
      </c>
      <c r="P23" s="31"/>
      <c r="Q23" s="31"/>
      <c r="R23" s="31">
        <f>R22*2</f>
        <v>4000</v>
      </c>
      <c r="S23" s="30">
        <f>SUM(B23:R23)</f>
        <v>94900</v>
      </c>
      <c r="X23" s="7"/>
      <c r="Y23" s="7"/>
      <c r="Z23" s="7"/>
      <c r="AA23" s="7">
        <v>3500</v>
      </c>
      <c r="AB23" s="7"/>
      <c r="AC23" s="7"/>
      <c r="AD23" s="66"/>
      <c r="AE23" s="1">
        <v>400</v>
      </c>
    </row>
    <row r="25" spans="1:31" ht="16.8" thickBot="1" x14ac:dyDescent="0.35"/>
    <row r="26" spans="1:31" ht="16.8" thickBot="1" x14ac:dyDescent="0.35">
      <c r="A26" s="147" t="s">
        <v>55</v>
      </c>
      <c r="B26" s="151" t="s">
        <v>1</v>
      </c>
      <c r="C26" s="152"/>
      <c r="D26" s="153"/>
      <c r="E26" s="157" t="s">
        <v>2</v>
      </c>
      <c r="F26" s="152"/>
      <c r="G26" s="153"/>
      <c r="H26" s="134" t="s">
        <v>3</v>
      </c>
      <c r="I26" s="135"/>
      <c r="J26" s="135"/>
      <c r="K26" s="135"/>
      <c r="L26" s="136"/>
      <c r="M26" s="151" t="s">
        <v>4</v>
      </c>
      <c r="N26" s="152"/>
      <c r="O26" s="152"/>
      <c r="P26" s="152"/>
      <c r="Q26" s="152"/>
      <c r="R26" s="159"/>
      <c r="S26" s="151" t="s">
        <v>6</v>
      </c>
      <c r="T26" s="152"/>
      <c r="U26" s="159"/>
      <c r="V26" s="160" t="s">
        <v>7</v>
      </c>
      <c r="W26" s="147" t="s">
        <v>8</v>
      </c>
      <c r="X26" s="147" t="s">
        <v>9</v>
      </c>
      <c r="Z26" s="37" t="s">
        <v>10</v>
      </c>
    </row>
    <row r="27" spans="1:31" ht="16.8" thickBot="1" x14ac:dyDescent="0.35">
      <c r="A27" s="148"/>
      <c r="B27" s="154"/>
      <c r="C27" s="155"/>
      <c r="D27" s="156"/>
      <c r="E27" s="158"/>
      <c r="F27" s="155"/>
      <c r="G27" s="156"/>
      <c r="H27" s="140" t="s">
        <v>55</v>
      </c>
      <c r="I27" s="138"/>
      <c r="J27" s="138"/>
      <c r="K27" s="138"/>
      <c r="L27" s="24" t="s">
        <v>15</v>
      </c>
      <c r="M27" s="74" t="s">
        <v>20</v>
      </c>
      <c r="N27" s="7" t="s">
        <v>21</v>
      </c>
      <c r="O27" s="7"/>
      <c r="P27" s="7" t="s">
        <v>17</v>
      </c>
      <c r="Q27" s="7" t="s">
        <v>18</v>
      </c>
      <c r="R27" s="8" t="s">
        <v>19</v>
      </c>
      <c r="S27" s="7" t="s">
        <v>22</v>
      </c>
      <c r="T27" s="7" t="s">
        <v>18</v>
      </c>
      <c r="U27" s="8" t="s">
        <v>19</v>
      </c>
      <c r="V27" s="146"/>
      <c r="W27" s="148"/>
      <c r="X27" s="148"/>
      <c r="Z27" s="149" t="s">
        <v>56</v>
      </c>
    </row>
    <row r="28" spans="1:31" ht="16.8" thickBot="1" x14ac:dyDescent="0.35">
      <c r="A28" s="12" t="s">
        <v>57</v>
      </c>
      <c r="B28" s="131">
        <v>9000</v>
      </c>
      <c r="C28" s="132"/>
      <c r="D28" s="133"/>
      <c r="E28" s="131" t="s">
        <v>25</v>
      </c>
      <c r="F28" s="132"/>
      <c r="G28" s="133"/>
      <c r="H28" s="134" t="s">
        <v>58</v>
      </c>
      <c r="I28" s="135"/>
      <c r="J28" s="135"/>
      <c r="K28" s="136"/>
      <c r="L28" s="15" t="s">
        <v>59</v>
      </c>
      <c r="M28" s="75"/>
      <c r="N28" s="14"/>
      <c r="O28" s="14"/>
      <c r="P28" s="14">
        <v>20</v>
      </c>
      <c r="Q28" s="14">
        <v>700</v>
      </c>
      <c r="R28" s="15">
        <f>P28*Q28</f>
        <v>14000</v>
      </c>
      <c r="S28" s="19">
        <v>1</v>
      </c>
      <c r="T28" s="19">
        <v>2000</v>
      </c>
      <c r="U28" s="19">
        <f>S28*T28</f>
        <v>2000</v>
      </c>
      <c r="V28" s="20"/>
      <c r="W28" s="21"/>
      <c r="X28" s="21"/>
      <c r="Z28" s="150"/>
    </row>
    <row r="29" spans="1:31" ht="16.8" thickBot="1" x14ac:dyDescent="0.35">
      <c r="A29" s="22" t="s">
        <v>27</v>
      </c>
      <c r="B29" s="137">
        <f>B28</f>
        <v>9000</v>
      </c>
      <c r="C29" s="138"/>
      <c r="D29" s="139"/>
      <c r="E29" s="137"/>
      <c r="F29" s="138"/>
      <c r="G29" s="139"/>
      <c r="H29" s="140">
        <f>1950*3</f>
        <v>5850</v>
      </c>
      <c r="I29" s="138"/>
      <c r="J29" s="138"/>
      <c r="K29" s="141"/>
      <c r="L29" s="24">
        <v>3000</v>
      </c>
      <c r="M29" s="22"/>
      <c r="N29" s="23"/>
      <c r="O29" s="23"/>
      <c r="P29" s="23"/>
      <c r="Q29" s="23"/>
      <c r="R29" s="24">
        <f>R28</f>
        <v>14000</v>
      </c>
      <c r="S29" s="29"/>
      <c r="T29" s="29"/>
      <c r="U29" s="29">
        <f>U28*2</f>
        <v>4000</v>
      </c>
      <c r="V29" s="30">
        <f>SUM(B29:U29)</f>
        <v>35850</v>
      </c>
      <c r="W29" s="31">
        <v>11</v>
      </c>
      <c r="X29" s="32">
        <f>V29/W29</f>
        <v>3259.090909090909</v>
      </c>
      <c r="Z29" s="49">
        <f>X29+720</f>
        <v>3979.090909090909</v>
      </c>
    </row>
    <row r="30" spans="1:31" x14ac:dyDescent="0.3">
      <c r="Z30" s="1">
        <v>3500</v>
      </c>
    </row>
    <row r="31" spans="1:31" ht="16.8" thickBot="1" x14ac:dyDescent="0.35">
      <c r="T31" s="34"/>
      <c r="U31" s="34"/>
      <c r="V31" s="34"/>
      <c r="W31" s="34"/>
    </row>
    <row r="32" spans="1:31" ht="16.8" thickBot="1" x14ac:dyDescent="0.35">
      <c r="A32" s="147" t="s">
        <v>60</v>
      </c>
      <c r="B32" s="151" t="s">
        <v>1</v>
      </c>
      <c r="C32" s="152"/>
      <c r="D32" s="153"/>
      <c r="E32" s="157" t="s">
        <v>2</v>
      </c>
      <c r="F32" s="152"/>
      <c r="G32" s="153"/>
      <c r="H32" s="134" t="s">
        <v>3</v>
      </c>
      <c r="I32" s="135"/>
      <c r="J32" s="135"/>
      <c r="K32" s="135"/>
      <c r="L32" s="136"/>
      <c r="M32" s="151" t="s">
        <v>4</v>
      </c>
      <c r="N32" s="152"/>
      <c r="O32" s="152"/>
      <c r="P32" s="159"/>
      <c r="Q32" s="151" t="s">
        <v>6</v>
      </c>
      <c r="R32" s="152"/>
      <c r="S32" s="159"/>
      <c r="T32" s="142" t="s">
        <v>29</v>
      </c>
      <c r="U32" s="143"/>
      <c r="V32" s="144"/>
      <c r="W32" s="145" t="s">
        <v>7</v>
      </c>
      <c r="X32" s="147" t="s">
        <v>8</v>
      </c>
      <c r="Y32" s="147" t="s">
        <v>9</v>
      </c>
      <c r="AA32" s="37" t="s">
        <v>10</v>
      </c>
    </row>
    <row r="33" spans="1:33" ht="16.8" thickBot="1" x14ac:dyDescent="0.35">
      <c r="A33" s="148"/>
      <c r="B33" s="154"/>
      <c r="C33" s="155"/>
      <c r="D33" s="156"/>
      <c r="E33" s="158"/>
      <c r="F33" s="155"/>
      <c r="G33" s="156"/>
      <c r="H33" s="140" t="s">
        <v>60</v>
      </c>
      <c r="I33" s="138"/>
      <c r="J33" s="138"/>
      <c r="K33" s="138"/>
      <c r="L33" s="24" t="s">
        <v>15</v>
      </c>
      <c r="M33" s="74" t="s">
        <v>61</v>
      </c>
      <c r="N33" s="7"/>
      <c r="O33" s="7"/>
      <c r="P33" s="8" t="s">
        <v>19</v>
      </c>
      <c r="Q33" s="7" t="s">
        <v>22</v>
      </c>
      <c r="R33" s="7" t="s">
        <v>18</v>
      </c>
      <c r="S33" s="8" t="s">
        <v>19</v>
      </c>
      <c r="T33" s="7" t="s">
        <v>22</v>
      </c>
      <c r="U33" s="7" t="s">
        <v>18</v>
      </c>
      <c r="V33" s="52" t="s">
        <v>19</v>
      </c>
      <c r="W33" s="146"/>
      <c r="X33" s="148"/>
      <c r="Y33" s="148"/>
      <c r="AA33" s="149" t="s">
        <v>62</v>
      </c>
    </row>
    <row r="34" spans="1:33" ht="16.8" thickBot="1" x14ac:dyDescent="0.35">
      <c r="A34" s="12" t="s">
        <v>63</v>
      </c>
      <c r="B34" s="131">
        <f>21600</f>
        <v>21600</v>
      </c>
      <c r="C34" s="132"/>
      <c r="D34" s="133"/>
      <c r="E34" s="131" t="s">
        <v>25</v>
      </c>
      <c r="F34" s="132"/>
      <c r="G34" s="133"/>
      <c r="H34" s="134" t="s">
        <v>64</v>
      </c>
      <c r="I34" s="135"/>
      <c r="J34" s="135"/>
      <c r="K34" s="136"/>
      <c r="L34" s="15" t="s">
        <v>59</v>
      </c>
      <c r="M34" s="75">
        <f>1500*5</f>
        <v>7500</v>
      </c>
      <c r="N34" s="14"/>
      <c r="O34" s="76"/>
      <c r="P34" s="15">
        <f>M34</f>
        <v>7500</v>
      </c>
      <c r="Q34" s="19">
        <v>0</v>
      </c>
      <c r="R34" s="19">
        <v>2000</v>
      </c>
      <c r="S34" s="19">
        <f>Q34*R34</f>
        <v>0</v>
      </c>
      <c r="T34" s="21">
        <v>0</v>
      </c>
      <c r="U34" s="36">
        <v>2400</v>
      </c>
      <c r="V34" s="1">
        <f>T34*U34</f>
        <v>0</v>
      </c>
      <c r="W34" s="20"/>
      <c r="X34" s="21"/>
      <c r="Y34" s="21"/>
      <c r="AA34" s="150"/>
    </row>
    <row r="35" spans="1:33" ht="16.8" thickBot="1" x14ac:dyDescent="0.35">
      <c r="A35" s="22" t="s">
        <v>27</v>
      </c>
      <c r="B35" s="131">
        <f>B34</f>
        <v>21600</v>
      </c>
      <c r="C35" s="132"/>
      <c r="D35" s="133"/>
      <c r="E35" s="137"/>
      <c r="F35" s="138"/>
      <c r="G35" s="139"/>
      <c r="H35" s="140">
        <f>140*12</f>
        <v>1680</v>
      </c>
      <c r="I35" s="138"/>
      <c r="J35" s="138"/>
      <c r="K35" s="141"/>
      <c r="L35" s="24">
        <v>3000</v>
      </c>
      <c r="M35" s="22"/>
      <c r="N35" s="23"/>
      <c r="O35" s="38"/>
      <c r="P35" s="24">
        <f>P34*2</f>
        <v>15000</v>
      </c>
      <c r="Q35" s="29"/>
      <c r="R35" s="29"/>
      <c r="S35" s="29">
        <f>S34</f>
        <v>0</v>
      </c>
      <c r="T35" s="31"/>
      <c r="U35" s="31"/>
      <c r="V35" s="31">
        <f>V34</f>
        <v>0</v>
      </c>
      <c r="W35" s="30">
        <f>SUM(B35:V35)</f>
        <v>41280</v>
      </c>
      <c r="X35" s="31">
        <v>16</v>
      </c>
      <c r="Y35" s="32">
        <f>W35/X35</f>
        <v>2580</v>
      </c>
      <c r="AA35" s="49">
        <f>Y35+720</f>
        <v>3300</v>
      </c>
    </row>
    <row r="36" spans="1:33" x14ac:dyDescent="0.3">
      <c r="AA36" s="1">
        <v>3500</v>
      </c>
    </row>
    <row r="37" spans="1:33" ht="16.8" thickBot="1" x14ac:dyDescent="0.35"/>
    <row r="38" spans="1:33" ht="16.8" thickBot="1" x14ac:dyDescent="0.35">
      <c r="A38" s="112" t="s">
        <v>65</v>
      </c>
      <c r="B38" s="122" t="s">
        <v>66</v>
      </c>
      <c r="C38" s="123"/>
      <c r="D38" s="124"/>
      <c r="E38" s="128" t="s">
        <v>67</v>
      </c>
      <c r="F38" s="123"/>
      <c r="G38" s="124"/>
      <c r="H38" s="122" t="s">
        <v>68</v>
      </c>
      <c r="I38" s="123"/>
      <c r="J38" s="123"/>
      <c r="K38" s="123"/>
      <c r="L38" s="130"/>
      <c r="M38" s="112" t="s">
        <v>69</v>
      </c>
      <c r="N38" s="112" t="s">
        <v>70</v>
      </c>
      <c r="O38" s="77"/>
      <c r="P38" s="112" t="s">
        <v>71</v>
      </c>
      <c r="Q38" s="46"/>
      <c r="R38" s="78" t="s">
        <v>72</v>
      </c>
    </row>
    <row r="39" spans="1:33" ht="16.8" thickBot="1" x14ac:dyDescent="0.35">
      <c r="A39" s="113"/>
      <c r="B39" s="125"/>
      <c r="C39" s="126"/>
      <c r="D39" s="127"/>
      <c r="E39" s="129"/>
      <c r="F39" s="126"/>
      <c r="G39" s="127"/>
      <c r="H39" s="110" t="s">
        <v>73</v>
      </c>
      <c r="I39" s="108"/>
      <c r="J39" s="108"/>
      <c r="K39" s="108"/>
      <c r="L39" s="79" t="s">
        <v>74</v>
      </c>
      <c r="M39" s="113"/>
      <c r="N39" s="113"/>
      <c r="O39" s="80"/>
      <c r="P39" s="113"/>
      <c r="Q39" s="46"/>
      <c r="R39" s="114" t="s">
        <v>75</v>
      </c>
    </row>
    <row r="40" spans="1:33" ht="16.8" thickBot="1" x14ac:dyDescent="0.35">
      <c r="A40" s="81" t="s">
        <v>76</v>
      </c>
      <c r="B40" s="116">
        <v>0</v>
      </c>
      <c r="C40" s="117"/>
      <c r="D40" s="118"/>
      <c r="E40" s="116" t="s">
        <v>77</v>
      </c>
      <c r="F40" s="117"/>
      <c r="G40" s="118"/>
      <c r="H40" s="119">
        <v>0</v>
      </c>
      <c r="I40" s="120"/>
      <c r="J40" s="120"/>
      <c r="K40" s="121"/>
      <c r="L40" s="82" t="s">
        <v>78</v>
      </c>
      <c r="M40" s="83"/>
      <c r="N40" s="83"/>
      <c r="O40" s="83"/>
      <c r="P40" s="83"/>
      <c r="Q40" s="46"/>
      <c r="R40" s="115"/>
    </row>
    <row r="41" spans="1:33" ht="16.8" thickBot="1" x14ac:dyDescent="0.35">
      <c r="A41" s="84" t="s">
        <v>79</v>
      </c>
      <c r="B41" s="107">
        <v>0</v>
      </c>
      <c r="C41" s="108"/>
      <c r="D41" s="109"/>
      <c r="E41" s="107"/>
      <c r="F41" s="108"/>
      <c r="G41" s="109"/>
      <c r="H41" s="110">
        <v>4500</v>
      </c>
      <c r="I41" s="108"/>
      <c r="J41" s="108"/>
      <c r="K41" s="111"/>
      <c r="L41" s="85">
        <v>900</v>
      </c>
      <c r="M41" s="86">
        <f>SUM(B41:L41)</f>
        <v>5400</v>
      </c>
      <c r="N41" s="86">
        <v>16</v>
      </c>
      <c r="O41" s="86"/>
      <c r="P41" s="87">
        <f>M41/N41</f>
        <v>337.5</v>
      </c>
      <c r="Q41" s="46"/>
      <c r="R41" s="88">
        <f>P41+72</f>
        <v>409.5</v>
      </c>
    </row>
    <row r="42" spans="1:33" x14ac:dyDescent="0.3">
      <c r="R42" s="1">
        <v>200</v>
      </c>
    </row>
    <row r="43" spans="1:33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x14ac:dyDescent="0.3">
      <c r="A44" s="106"/>
      <c r="B44" s="106"/>
      <c r="C44" s="106"/>
      <c r="D44" s="106"/>
      <c r="E44" s="106"/>
      <c r="F44" s="106"/>
      <c r="G44" s="89"/>
      <c r="H44" s="106"/>
      <c r="I44" s="106"/>
      <c r="J44" s="106"/>
      <c r="K44" s="89"/>
      <c r="L44" s="89"/>
      <c r="T44" s="7"/>
      <c r="U44" s="7"/>
      <c r="V44" s="7"/>
      <c r="W44" s="7"/>
    </row>
    <row r="45" spans="1:33" x14ac:dyDescent="0.3">
      <c r="A45" s="106"/>
      <c r="B45" s="106"/>
      <c r="C45" s="106"/>
      <c r="D45" s="106"/>
      <c r="E45" s="106"/>
      <c r="F45" s="106"/>
      <c r="G45" s="89"/>
      <c r="H45" s="106"/>
      <c r="I45" s="106"/>
      <c r="J45" s="106"/>
      <c r="K45" s="89"/>
      <c r="L45" s="106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33" x14ac:dyDescent="0.3">
      <c r="A46" s="89"/>
      <c r="B46" s="106"/>
      <c r="C46" s="106"/>
      <c r="D46" s="106"/>
      <c r="E46" s="106"/>
      <c r="F46" s="106"/>
      <c r="G46" s="89"/>
      <c r="H46" s="89"/>
      <c r="I46" s="89"/>
      <c r="J46" s="89"/>
      <c r="K46" s="89"/>
      <c r="L46" s="106"/>
      <c r="T46" s="7"/>
      <c r="U46" s="7"/>
      <c r="V46" s="7"/>
      <c r="W46" s="7"/>
    </row>
    <row r="47" spans="1:33" x14ac:dyDescent="0.3">
      <c r="A47" s="89"/>
      <c r="B47" s="106"/>
      <c r="C47" s="106"/>
      <c r="D47" s="106"/>
      <c r="E47" s="106"/>
      <c r="F47" s="106"/>
      <c r="G47" s="89"/>
      <c r="H47" s="89"/>
      <c r="I47" s="89"/>
      <c r="J47" s="89"/>
      <c r="K47" s="89"/>
      <c r="L47" s="89"/>
      <c r="T47" s="7"/>
      <c r="U47" s="7"/>
      <c r="V47" s="7"/>
      <c r="W47" s="7"/>
    </row>
    <row r="48" spans="1:33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Y48" s="90"/>
      <c r="Z48" s="90"/>
      <c r="AA48" s="90"/>
      <c r="AB48" s="90"/>
      <c r="AC48" s="7"/>
      <c r="AD48" s="7"/>
      <c r="AE48" s="7"/>
      <c r="AF48" s="7"/>
      <c r="AG48" s="7"/>
    </row>
    <row r="49" spans="1:33" x14ac:dyDescent="0.3">
      <c r="Y49" s="7"/>
      <c r="Z49" s="7"/>
      <c r="AA49" s="7"/>
      <c r="AB49" s="7"/>
      <c r="AC49" s="7"/>
      <c r="AD49" s="7"/>
      <c r="AE49" s="7"/>
      <c r="AF49" s="7"/>
      <c r="AG49" s="7"/>
    </row>
    <row r="50" spans="1:33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x14ac:dyDescent="0.3">
      <c r="A51" s="91" t="s">
        <v>80</v>
      </c>
      <c r="B51" s="91" t="s">
        <v>81</v>
      </c>
      <c r="C51" s="91" t="s">
        <v>82</v>
      </c>
      <c r="D51" s="91" t="s">
        <v>83</v>
      </c>
    </row>
    <row r="52" spans="1:33" x14ac:dyDescent="0.3">
      <c r="A52" s="92" t="s">
        <v>84</v>
      </c>
      <c r="B52" s="92">
        <v>10</v>
      </c>
      <c r="C52" s="92">
        <v>150</v>
      </c>
      <c r="D52" s="92">
        <f t="shared" ref="D52:D66" si="0">B52*C52</f>
        <v>1500</v>
      </c>
      <c r="G52" s="92" t="s">
        <v>85</v>
      </c>
      <c r="H52" s="93">
        <f>AA4+Y11+S17+S23+V29+W35+H47+D68+M41</f>
        <v>611470</v>
      </c>
    </row>
    <row r="53" spans="1:33" x14ac:dyDescent="0.3">
      <c r="A53" s="92" t="s">
        <v>86</v>
      </c>
      <c r="B53" s="92">
        <v>10</v>
      </c>
      <c r="C53" s="92">
        <v>40</v>
      </c>
      <c r="D53" s="92">
        <f t="shared" si="0"/>
        <v>400</v>
      </c>
      <c r="G53" s="4" t="s">
        <v>87</v>
      </c>
      <c r="H53" s="94">
        <f>H52+38940</f>
        <v>650410</v>
      </c>
      <c r="I53" s="103" t="s">
        <v>107</v>
      </c>
      <c r="J53" s="104"/>
      <c r="K53" s="105"/>
      <c r="L53" s="105"/>
      <c r="M53" s="105"/>
      <c r="N53" s="105"/>
    </row>
    <row r="54" spans="1:33" ht="16.8" thickBot="1" x14ac:dyDescent="0.35">
      <c r="A54" s="92" t="s">
        <v>88</v>
      </c>
      <c r="B54" s="92">
        <v>17</v>
      </c>
      <c r="C54" s="92">
        <v>300</v>
      </c>
      <c r="D54" s="92">
        <f t="shared" si="0"/>
        <v>5100</v>
      </c>
      <c r="F54" s="95"/>
      <c r="G54" s="96" t="s">
        <v>89</v>
      </c>
      <c r="H54" s="97">
        <f>AB4*AE5+Z11*AC12+W16*X17+AA16*AB17+Z22*AA23+AD22*AE23+W29*Z30+X35*AA36+N41*R42+I47*L48</f>
        <v>619700</v>
      </c>
      <c r="T54" s="98"/>
    </row>
    <row r="55" spans="1:33" ht="17.399999999999999" thickTop="1" thickBot="1" x14ac:dyDescent="0.35">
      <c r="A55" s="92" t="s">
        <v>90</v>
      </c>
      <c r="B55" s="92">
        <v>1000</v>
      </c>
      <c r="C55" s="92">
        <v>1</v>
      </c>
      <c r="D55" s="92">
        <f t="shared" si="0"/>
        <v>1000</v>
      </c>
      <c r="G55" s="99" t="s">
        <v>91</v>
      </c>
      <c r="H55" s="100">
        <f>H54-H53</f>
        <v>-30710</v>
      </c>
      <c r="L55" s="98"/>
    </row>
    <row r="56" spans="1:33" ht="16.8" thickTop="1" x14ac:dyDescent="0.3">
      <c r="A56" s="92" t="s">
        <v>92</v>
      </c>
      <c r="B56" s="92">
        <v>90</v>
      </c>
      <c r="C56" s="92">
        <v>250</v>
      </c>
      <c r="D56" s="92">
        <f t="shared" si="0"/>
        <v>22500</v>
      </c>
      <c r="L56" s="98"/>
    </row>
    <row r="57" spans="1:33" x14ac:dyDescent="0.3">
      <c r="A57" s="92" t="s">
        <v>93</v>
      </c>
      <c r="B57" s="92">
        <v>200</v>
      </c>
      <c r="C57" s="92">
        <v>100</v>
      </c>
      <c r="D57" s="92">
        <f t="shared" si="0"/>
        <v>20000</v>
      </c>
    </row>
    <row r="58" spans="1:33" x14ac:dyDescent="0.3">
      <c r="A58" s="92" t="s">
        <v>94</v>
      </c>
      <c r="B58" s="92">
        <v>10</v>
      </c>
      <c r="C58" s="92">
        <v>0</v>
      </c>
      <c r="D58" s="92">
        <f t="shared" si="0"/>
        <v>0</v>
      </c>
    </row>
    <row r="59" spans="1:33" x14ac:dyDescent="0.3">
      <c r="A59" s="92" t="s">
        <v>95</v>
      </c>
      <c r="B59" s="92">
        <v>3100</v>
      </c>
      <c r="C59" s="92">
        <v>1</v>
      </c>
      <c r="D59" s="92">
        <f t="shared" si="0"/>
        <v>3100</v>
      </c>
    </row>
    <row r="60" spans="1:33" x14ac:dyDescent="0.3">
      <c r="A60" s="92" t="s">
        <v>96</v>
      </c>
      <c r="B60" s="92">
        <v>50</v>
      </c>
      <c r="C60" s="92">
        <v>40</v>
      </c>
      <c r="D60" s="92">
        <f t="shared" si="0"/>
        <v>2000</v>
      </c>
    </row>
    <row r="61" spans="1:33" x14ac:dyDescent="0.3">
      <c r="A61" s="92" t="s">
        <v>97</v>
      </c>
      <c r="B61" s="92">
        <v>1</v>
      </c>
      <c r="C61" s="92">
        <v>500</v>
      </c>
      <c r="D61" s="92">
        <f t="shared" si="0"/>
        <v>500</v>
      </c>
    </row>
    <row r="62" spans="1:33" x14ac:dyDescent="0.3">
      <c r="A62" s="92" t="s">
        <v>98</v>
      </c>
      <c r="B62" s="92">
        <v>1</v>
      </c>
      <c r="C62" s="92">
        <v>500</v>
      </c>
      <c r="D62" s="92">
        <f t="shared" si="0"/>
        <v>500</v>
      </c>
    </row>
    <row r="63" spans="1:33" x14ac:dyDescent="0.3">
      <c r="A63" s="92" t="s">
        <v>99</v>
      </c>
      <c r="B63" s="92">
        <v>38</v>
      </c>
      <c r="C63" s="92">
        <v>100</v>
      </c>
      <c r="D63" s="92">
        <f t="shared" si="0"/>
        <v>3800</v>
      </c>
    </row>
    <row r="64" spans="1:33" x14ac:dyDescent="0.3">
      <c r="A64" s="92" t="s">
        <v>100</v>
      </c>
      <c r="B64" s="92">
        <v>60</v>
      </c>
      <c r="C64" s="92">
        <v>390</v>
      </c>
      <c r="D64" s="92">
        <f t="shared" si="0"/>
        <v>23400</v>
      </c>
      <c r="I64" s="98"/>
    </row>
    <row r="65" spans="1:4" x14ac:dyDescent="0.3">
      <c r="A65" s="92" t="s">
        <v>101</v>
      </c>
      <c r="B65" s="92">
        <v>100</v>
      </c>
      <c r="C65" s="92">
        <v>296</v>
      </c>
      <c r="D65" s="92">
        <f t="shared" si="0"/>
        <v>29600</v>
      </c>
    </row>
    <row r="66" spans="1:4" x14ac:dyDescent="0.3">
      <c r="A66" s="92" t="s">
        <v>102</v>
      </c>
      <c r="B66" s="92">
        <v>1</v>
      </c>
      <c r="C66" s="92">
        <v>10000</v>
      </c>
      <c r="D66" s="92">
        <f t="shared" si="0"/>
        <v>10000</v>
      </c>
    </row>
    <row r="67" spans="1:4" ht="16.8" thickBot="1" x14ac:dyDescent="0.35">
      <c r="A67" s="96" t="s">
        <v>103</v>
      </c>
      <c r="B67" s="102" t="s">
        <v>104</v>
      </c>
      <c r="C67" s="102"/>
      <c r="D67" s="96">
        <v>3500</v>
      </c>
    </row>
    <row r="68" spans="1:4" ht="16.8" thickTop="1" x14ac:dyDescent="0.3">
      <c r="A68" s="42" t="s">
        <v>105</v>
      </c>
      <c r="B68" s="42"/>
      <c r="C68" s="42"/>
      <c r="D68" s="42">
        <f>SUM(D52:D67)</f>
        <v>126900</v>
      </c>
    </row>
    <row r="69" spans="1:4" x14ac:dyDescent="0.3">
      <c r="A69" s="92" t="s">
        <v>106</v>
      </c>
      <c r="B69" s="92"/>
      <c r="C69" s="92"/>
      <c r="D69" s="101">
        <f>D68/177</f>
        <v>716.94915254237287</v>
      </c>
    </row>
  </sheetData>
  <mergeCells count="120">
    <mergeCell ref="A8:A9"/>
    <mergeCell ref="B8:D9"/>
    <mergeCell ref="E8:G9"/>
    <mergeCell ref="H8:L8"/>
    <mergeCell ref="X1:Z1"/>
    <mergeCell ref="AA1:AA2"/>
    <mergeCell ref="AB1:AB2"/>
    <mergeCell ref="AC1:AC2"/>
    <mergeCell ref="AE2:AE3"/>
    <mergeCell ref="B3:D3"/>
    <mergeCell ref="E3:G3"/>
    <mergeCell ref="A1:A2"/>
    <mergeCell ref="B1:D2"/>
    <mergeCell ref="E1:G2"/>
    <mergeCell ref="H1:L1"/>
    <mergeCell ref="M1:R1"/>
    <mergeCell ref="S1:W1"/>
    <mergeCell ref="M8:R8"/>
    <mergeCell ref="S8:U8"/>
    <mergeCell ref="V8:X8"/>
    <mergeCell ref="B10:D10"/>
    <mergeCell ref="E10:G10"/>
    <mergeCell ref="B11:D11"/>
    <mergeCell ref="E11:G11"/>
    <mergeCell ref="B4:D4"/>
    <mergeCell ref="E4:G4"/>
    <mergeCell ref="U14:X14"/>
    <mergeCell ref="Y14:AB14"/>
    <mergeCell ref="H15:J15"/>
    <mergeCell ref="B16:D16"/>
    <mergeCell ref="E16:G16"/>
    <mergeCell ref="H16:J16"/>
    <mergeCell ref="A14:A15"/>
    <mergeCell ref="B14:D15"/>
    <mergeCell ref="E14:G15"/>
    <mergeCell ref="H14:L14"/>
    <mergeCell ref="P14:R14"/>
    <mergeCell ref="S14:S15"/>
    <mergeCell ref="X20:AA20"/>
    <mergeCell ref="AB20:AE20"/>
    <mergeCell ref="H21:J21"/>
    <mergeCell ref="B22:D22"/>
    <mergeCell ref="E22:G22"/>
    <mergeCell ref="H22:J22"/>
    <mergeCell ref="B17:D17"/>
    <mergeCell ref="E17:G17"/>
    <mergeCell ref="H17:J17"/>
    <mergeCell ref="B20:D21"/>
    <mergeCell ref="E20:G21"/>
    <mergeCell ref="H20:L20"/>
    <mergeCell ref="B23:D23"/>
    <mergeCell ref="E23:G23"/>
    <mergeCell ref="H23:J23"/>
    <mergeCell ref="A26:A27"/>
    <mergeCell ref="B26:D27"/>
    <mergeCell ref="E26:G27"/>
    <mergeCell ref="H26:L26"/>
    <mergeCell ref="M20:N20"/>
    <mergeCell ref="P20:R20"/>
    <mergeCell ref="A20:A21"/>
    <mergeCell ref="Z27:Z28"/>
    <mergeCell ref="B28:D28"/>
    <mergeCell ref="E28:G28"/>
    <mergeCell ref="H28:K28"/>
    <mergeCell ref="B29:D29"/>
    <mergeCell ref="E29:G29"/>
    <mergeCell ref="H29:K29"/>
    <mergeCell ref="M26:R26"/>
    <mergeCell ref="S26:U26"/>
    <mergeCell ref="V26:V27"/>
    <mergeCell ref="W26:W27"/>
    <mergeCell ref="X26:X27"/>
    <mergeCell ref="H27:K27"/>
    <mergeCell ref="Y32:Y33"/>
    <mergeCell ref="H33:K33"/>
    <mergeCell ref="AA33:AA34"/>
    <mergeCell ref="A32:A33"/>
    <mergeCell ref="B32:D33"/>
    <mergeCell ref="E32:G33"/>
    <mergeCell ref="H32:L32"/>
    <mergeCell ref="M32:P32"/>
    <mergeCell ref="Q32:S32"/>
    <mergeCell ref="B34:D34"/>
    <mergeCell ref="E34:G34"/>
    <mergeCell ref="H34:K34"/>
    <mergeCell ref="B35:D35"/>
    <mergeCell ref="E35:G35"/>
    <mergeCell ref="H35:K35"/>
    <mergeCell ref="T32:V32"/>
    <mergeCell ref="W32:W33"/>
    <mergeCell ref="X32:X33"/>
    <mergeCell ref="R39:R40"/>
    <mergeCell ref="B40:D40"/>
    <mergeCell ref="E40:G40"/>
    <mergeCell ref="H40:K40"/>
    <mergeCell ref="A38:A39"/>
    <mergeCell ref="B38:D39"/>
    <mergeCell ref="E38:G39"/>
    <mergeCell ref="H38:L38"/>
    <mergeCell ref="M38:M39"/>
    <mergeCell ref="N38:N39"/>
    <mergeCell ref="A44:A45"/>
    <mergeCell ref="B44:D45"/>
    <mergeCell ref="E44:F44"/>
    <mergeCell ref="H44:H45"/>
    <mergeCell ref="I44:I45"/>
    <mergeCell ref="J44:J45"/>
    <mergeCell ref="E45:F45"/>
    <mergeCell ref="P38:P39"/>
    <mergeCell ref="H39:K39"/>
    <mergeCell ref="B67:C67"/>
    <mergeCell ref="I53:N53"/>
    <mergeCell ref="L45:L46"/>
    <mergeCell ref="B46:D46"/>
    <mergeCell ref="E46:F46"/>
    <mergeCell ref="B47:D47"/>
    <mergeCell ref="E47:F47"/>
    <mergeCell ref="B41:D41"/>
    <mergeCell ref="E41:G41"/>
    <mergeCell ref="H41:K41"/>
  </mergeCells>
  <phoneticPr fontId="2" type="noConversion"/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平均攤提費用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2014-10-15T15:31:12Z</dcterms:created>
  <dcterms:modified xsi:type="dcterms:W3CDTF">2014-10-20T02:54:05Z</dcterms:modified>
</cp:coreProperties>
</file>